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Webseite_Dateien\Ordnerstruktur CLEAN\G_S_Lastprofile\Gas\"/>
    </mc:Choice>
  </mc:AlternateContent>
  <xr:revisionPtr revIDLastSave="0" documentId="13_ncr:1_{C2492FF6-4D5F-48D8-812C-94CD1D2DF87D}" xr6:coauthVersionLast="47" xr6:coauthVersionMax="47" xr10:uidLastSave="{00000000-0000-0000-0000-000000000000}"/>
  <bookViews>
    <workbookView xWindow="28680" yWindow="-120" windowWidth="29040" windowHeight="15840" tabRatio="789" activeTab="2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J63" i="18"/>
  <c r="G63" i="18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F21" i="18"/>
  <c r="M21" i="18"/>
  <c r="L21" i="18"/>
  <c r="H21" i="18"/>
  <c r="K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I21" i="18" l="1"/>
  <c r="J21" i="18"/>
  <c r="G21" i="18"/>
  <c r="D56" i="18"/>
  <c r="J55" i="18" s="1"/>
  <c r="E31" i="18"/>
  <c r="D66" i="18"/>
  <c r="K65" i="18" s="1"/>
  <c r="K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55" i="18"/>
  <c r="G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W11" i="7"/>
  <c r="V11" i="7"/>
  <c r="U11" i="7"/>
  <c r="T11" i="7"/>
  <c r="S11" i="7"/>
  <c r="R11" i="7"/>
  <c r="R14" i="7"/>
  <c r="S14" i="7"/>
  <c r="T14" i="7"/>
  <c r="U14" i="7"/>
  <c r="V14" i="7"/>
  <c r="W14" i="7"/>
  <c r="E65" i="18" l="1"/>
  <c r="X11" i="7"/>
  <c r="X14" i="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I56" i="17"/>
  <c r="J56" i="17"/>
  <c r="K56" i="17"/>
  <c r="L56" i="17"/>
  <c r="M56" i="17"/>
  <c r="N56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H14" i="7" l="1"/>
  <c r="J14" i="7"/>
  <c r="N14" i="7"/>
  <c r="N11" i="7"/>
  <c r="L11" i="7"/>
  <c r="H11" i="7"/>
  <c r="L14" i="7"/>
  <c r="P11" i="7"/>
  <c r="I14" i="7"/>
  <c r="M11" i="7"/>
  <c r="K14" i="7"/>
  <c r="O14" i="7"/>
  <c r="O11" i="7"/>
  <c r="J11" i="7"/>
  <c r="P14" i="7"/>
  <c r="K11" i="7"/>
  <c r="M14" i="7"/>
  <c r="I11" i="7"/>
  <c r="F14" i="7"/>
  <c r="F11" i="7"/>
  <c r="M8" i="4"/>
  <c r="M7" i="4"/>
  <c r="D6" i="15"/>
  <c r="D6" i="7"/>
  <c r="C18" i="7" l="1"/>
  <c r="C22" i="7"/>
  <c r="C19" i="7"/>
  <c r="C23" i="7"/>
  <c r="C20" i="7"/>
  <c r="C17" i="7"/>
  <c r="C21" i="7"/>
  <c r="Q11" i="7"/>
  <c r="Q14" i="7"/>
  <c r="C41" i="7"/>
  <c r="C29" i="7"/>
  <c r="C14" i="7"/>
  <c r="C12" i="7"/>
  <c r="C26" i="7"/>
  <c r="C31" i="7"/>
  <c r="C32" i="7"/>
  <c r="C16" i="7"/>
  <c r="C25" i="7"/>
  <c r="C28" i="7"/>
  <c r="C34" i="7"/>
  <c r="C15" i="7"/>
  <c r="C39" i="7"/>
  <c r="C36" i="7"/>
  <c r="C33" i="7"/>
  <c r="C38" i="7"/>
  <c r="C27" i="7"/>
  <c r="C30" i="7"/>
  <c r="C13" i="7"/>
  <c r="C35" i="7"/>
  <c r="C40" i="7"/>
  <c r="C24" i="7"/>
  <c r="C37" i="7"/>
</calcChain>
</file>

<file path=xl/sharedStrings.xml><?xml version="1.0" encoding="utf-8"?>
<sst xmlns="http://schemas.openxmlformats.org/spreadsheetml/2006/main" count="1357" uniqueCount="668">
  <si>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</si>
  <si>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</si>
  <si>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</si>
  <si>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</si>
  <si>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</si>
  <si>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</si>
  <si>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</si>
  <si>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</si>
  <si>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</si>
  <si>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</si>
  <si>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</si>
  <si>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</si>
  <si>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</si>
  <si>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</si>
  <si>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</si>
  <si>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</si>
  <si>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</si>
  <si>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</si>
  <si>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</si>
  <si>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</si>
  <si>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</si>
  <si>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</si>
  <si>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</si>
  <si>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</si>
  <si>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</si>
  <si>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</si>
  <si>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</si>
  <si>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</si>
  <si>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</si>
  <si>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</si>
  <si>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</si>
  <si>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</si>
  <si>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</si>
  <si>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</si>
  <si>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</si>
  <si>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</si>
  <si>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</si>
  <si>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</si>
  <si>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</si>
  <si>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</si>
  <si>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</si>
  <si>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</si>
  <si>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</si>
  <si>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</si>
  <si>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</si>
  <si>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</si>
  <si>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</si>
  <si>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</si>
  <si>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</si>
  <si>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</si>
  <si>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</si>
  <si>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</si>
  <si>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</si>
  <si>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</si>
  <si>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</si>
  <si>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</si>
  <si>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</si>
  <si>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</si>
  <si>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</si>
  <si>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</si>
  <si>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</si>
  <si>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</si>
  <si>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</si>
  <si>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</si>
  <si>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</si>
  <si>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</si>
  <si>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</si>
  <si>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</si>
  <si>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</si>
  <si>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</si>
  <si>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</si>
  <si>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</si>
  <si>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</si>
  <si>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</si>
  <si>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</si>
  <si>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</si>
  <si>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</si>
  <si>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</si>
  <si>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</si>
  <si>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</si>
  <si>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</si>
  <si>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</si>
  <si>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</si>
  <si>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</si>
  <si>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</si>
  <si>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</si>
  <si>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</si>
  <si>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</si>
  <si>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</si>
  <si>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</si>
  <si>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</si>
  <si>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</si>
  <si>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</si>
  <si>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</si>
  <si>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</si>
  <si>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</si>
  <si>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</si>
  <si>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</si>
  <si>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</si>
  <si>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</si>
  <si>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</si>
  <si>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</si>
  <si>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</si>
  <si>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</si>
  <si>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</si>
  <si>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</si>
  <si>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</si>
  <si>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</si>
  <si>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</si>
  <si>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</si>
  <si>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</si>
  <si>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</si>
  <si>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</si>
  <si>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</si>
  <si>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</si>
  <si>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</si>
  <si>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</si>
  <si>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</si>
  <si>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</si>
  <si>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</si>
  <si>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</si>
  <si>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</si>
  <si>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</si>
  <si>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</si>
  <si>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</si>
  <si>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</si>
  <si>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</si>
  <si>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</si>
  <si>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</si>
  <si>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</si>
  <si>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</si>
  <si>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</si>
  <si>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</si>
  <si>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</si>
  <si>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</si>
  <si>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</si>
  <si>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</si>
  <si>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</si>
  <si>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</si>
  <si>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</si>
  <si>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</si>
  <si>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</si>
  <si>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</si>
  <si>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</si>
  <si>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</si>
  <si>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</si>
  <si>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</si>
  <si>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</si>
  <si>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</si>
  <si>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</si>
  <si>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</si>
  <si>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</si>
  <si>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</si>
  <si>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</si>
  <si>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</si>
  <si>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</si>
  <si>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</si>
  <si>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</si>
  <si>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</si>
  <si>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</si>
  <si>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</si>
  <si>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</si>
  <si>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</si>
  <si>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</si>
  <si>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</si>
  <si>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</si>
  <si>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</si>
  <si>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</si>
  <si>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</si>
  <si>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</si>
  <si>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</si>
  <si>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</si>
  <si>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</si>
  <si>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</si>
  <si>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</si>
  <si>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</si>
  <si>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</si>
  <si>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</si>
  <si>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</si>
  <si>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</si>
  <si>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</si>
  <si>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</si>
  <si>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</si>
  <si>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</si>
  <si>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</si>
  <si>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</si>
  <si>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</si>
  <si>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</si>
  <si>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</si>
  <si>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</si>
  <si>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</si>
  <si>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</si>
  <si>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</si>
  <si>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</si>
  <si>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</si>
  <si>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</si>
  <si>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</si>
  <si>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</si>
  <si>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</si>
  <si>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</si>
  <si>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</si>
  <si>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</si>
  <si>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</si>
  <si>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</si>
  <si>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</si>
  <si>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</si>
  <si>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</si>
  <si>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</si>
  <si>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</si>
  <si>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</si>
  <si>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</si>
  <si>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</si>
  <si>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</si>
  <si>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</si>
  <si>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</si>
  <si>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</si>
  <si>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</si>
  <si>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</si>
  <si>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</si>
  <si>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</si>
  <si>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</si>
  <si>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</si>
  <si>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</si>
  <si>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</si>
  <si>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</si>
  <si>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</si>
  <si>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</si>
  <si>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</si>
  <si>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</si>
  <si>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</si>
  <si>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</si>
  <si>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</si>
  <si>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</si>
  <si>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</si>
  <si>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</si>
  <si>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</si>
  <si>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</si>
  <si>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</si>
  <si>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</si>
  <si>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</si>
  <si>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</si>
  <si>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</si>
  <si>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</si>
  <si>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</si>
  <si>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</si>
  <si>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</si>
  <si>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</si>
  <si>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</si>
  <si>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</si>
  <si>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</si>
  <si>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</si>
  <si>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</si>
  <si>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</si>
  <si>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</si>
  <si>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</si>
  <si>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</si>
  <si>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</si>
  <si>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</si>
  <si>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</si>
  <si>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</si>
  <si>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</si>
  <si>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</si>
  <si>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</si>
  <si>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</si>
  <si>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</si>
  <si>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</si>
  <si>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</si>
  <si>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</si>
  <si>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</si>
  <si>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</si>
  <si>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</si>
  <si>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</si>
  <si>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</si>
  <si>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</si>
  <si>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</si>
  <si>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</si>
  <si>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</si>
  <si>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</si>
  <si>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</si>
  <si>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</si>
  <si>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</si>
  <si>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</si>
  <si>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</si>
  <si>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</si>
  <si>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</si>
  <si>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</si>
  <si>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</si>
  <si>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</si>
  <si>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</si>
  <si>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</si>
  <si>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</si>
  <si>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</si>
  <si>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</si>
  <si>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</si>
  <si>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</si>
  <si>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</si>
  <si>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</si>
  <si>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</si>
  <si>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</si>
  <si>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</si>
  <si>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</si>
  <si>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</si>
  <si>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</si>
  <si>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</si>
  <si>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</si>
  <si>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</si>
  <si>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</si>
  <si>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</si>
  <si>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</si>
  <si>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</si>
  <si>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</si>
  <si>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</si>
  <si>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</si>
  <si>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</si>
  <si>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</si>
  <si>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</si>
  <si>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</si>
  <si>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</si>
  <si>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</si>
  <si>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</si>
  <si>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</si>
  <si>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</si>
  <si>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</si>
  <si>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</si>
  <si>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</si>
  <si>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</si>
  <si>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</si>
  <si>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</si>
  <si>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</si>
  <si>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</si>
  <si>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</si>
  <si>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</si>
  <si>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</si>
  <si>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</si>
  <si>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</si>
  <si>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</si>
  <si>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</si>
  <si>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</si>
  <si>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</si>
  <si>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</si>
  <si>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</si>
  <si>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</si>
  <si>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</si>
  <si>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</si>
  <si>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</si>
  <si>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</si>
  <si>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</si>
  <si>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</si>
  <si>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</si>
  <si>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</si>
  <si>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</si>
  <si>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</si>
  <si>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</si>
  <si>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</si>
  <si>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</si>
  <si>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</si>
  <si>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</si>
  <si>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</si>
  <si>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</si>
  <si>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</si>
  <si>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</si>
  <si>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</si>
  <si>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</si>
  <si>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</si>
  <si>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</si>
  <si>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</si>
  <si>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</si>
  <si>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</si>
  <si>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</si>
  <si>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</si>
  <si>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</si>
  <si>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</si>
  <si>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</si>
  <si>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</si>
  <si>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</si>
  <si>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</si>
  <si>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</si>
  <si>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</si>
  <si>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</si>
  <si>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</si>
  <si>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</si>
  <si>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</si>
  <si>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</si>
  <si>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</si>
  <si>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</si>
  <si>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</si>
  <si>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</si>
  <si>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</si>
  <si>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</si>
  <si>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</si>
  <si>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</si>
  <si>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</si>
  <si>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</si>
  <si>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</si>
  <si>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</si>
  <si>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</si>
  <si>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</si>
  <si>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</si>
  <si>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</si>
  <si>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</si>
  <si>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</si>
  <si>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</si>
  <si>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</si>
  <si>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</si>
  <si>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</si>
  <si>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</si>
  <si>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</si>
  <si>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</si>
  <si>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</si>
  <si>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</si>
  <si>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</si>
  <si>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</si>
  <si>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</si>
  <si>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</si>
  <si>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</si>
  <si>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</si>
  <si>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</si>
  <si>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</si>
  <si>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</si>
  <si>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</si>
  <si>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</si>
  <si>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</si>
  <si>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</si>
  <si>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</si>
  <si>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</si>
  <si>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</si>
  <si>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</si>
  <si>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</si>
  <si>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</si>
  <si>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</si>
  <si>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</si>
  <si>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</si>
  <si>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</si>
  <si>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</si>
  <si>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</si>
  <si>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</si>
  <si>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</si>
  <si>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</si>
  <si>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</si>
  <si>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</si>
  <si>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</si>
  <si>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</si>
  <si>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</si>
  <si>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</si>
  <si>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</si>
  <si>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</si>
  <si>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</si>
  <si>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</si>
  <si>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</si>
  <si>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</si>
  <si>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</si>
  <si>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</si>
  <si>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</si>
  <si>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</si>
  <si>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</si>
  <si>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</si>
  <si>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</si>
  <si>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</si>
  <si>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</si>
  <si>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</si>
  <si>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</si>
  <si>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</si>
  <si>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</si>
  <si>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</si>
  <si>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</si>
  <si>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</si>
  <si>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</si>
  <si>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</si>
  <si>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</si>
  <si>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</si>
  <si>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</si>
  <si>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</si>
  <si>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</si>
  <si>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</si>
  <si>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</si>
  <si>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</si>
  <si>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</si>
  <si>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</si>
  <si>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</si>
  <si>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</si>
  <si>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</si>
  <si>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</si>
  <si>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</si>
  <si>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</si>
  <si>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</si>
  <si>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</si>
  <si>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</si>
  <si>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</si>
  <si>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</si>
  <si>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</si>
  <si>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</si>
  <si>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</si>
  <si>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</si>
  <si>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</si>
  <si>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</si>
  <si>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</si>
  <si>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</si>
  <si>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</si>
  <si>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</si>
  <si>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</si>
  <si>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</si>
  <si>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</si>
  <si>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</si>
  <si>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</si>
  <si>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</si>
  <si>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</si>
  <si>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</si>
  <si>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</si>
  <si>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</si>
  <si>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</si>
  <si>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</si>
  <si>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</si>
  <si>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</si>
  <si>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</si>
  <si>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</si>
  <si>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</si>
  <si>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</si>
  <si>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</si>
  <si>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</si>
  <si>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</si>
  <si>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</si>
  <si>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</si>
  <si>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</si>
  <si>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</si>
  <si>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</si>
  <si>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</si>
  <si>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</si>
  <si>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</si>
  <si>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</si>
  <si>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</si>
  <si>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</si>
  <si>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</si>
  <si>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</si>
  <si>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</si>
  <si>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</si>
  <si>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</si>
  <si>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</si>
  <si>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</si>
  <si>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</si>
  <si>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</si>
  <si>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</si>
  <si>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</si>
  <si>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</si>
  <si>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</si>
  <si>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</si>
  <si>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</si>
  <si>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</si>
  <si>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</si>
  <si>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</si>
  <si>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</si>
  <si>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</si>
  <si>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</si>
  <si>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</si>
  <si>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</si>
  <si>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</si>
  <si>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</si>
  <si>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</si>
  <si>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</si>
  <si>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</si>
  <si>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</si>
  <si>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</si>
  <si>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</si>
  <si>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</si>
  <si>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</si>
  <si>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</si>
  <si>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</si>
  <si>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</si>
  <si>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</si>
  <si>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</si>
  <si>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</si>
  <si>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</si>
  <si>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</si>
  <si>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</si>
  <si>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</si>
  <si>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</si>
  <si>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</si>
  <si>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</si>
  <si>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</si>
  <si>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</si>
  <si>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</si>
  <si>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</si>
  <si>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</si>
  <si>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</si>
  <si>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</si>
  <si>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</si>
  <si>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</si>
  <si>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</si>
  <si>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</si>
  <si>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</si>
  <si>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</si>
  <si>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</si>
  <si>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</si>
  <si>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</si>
  <si>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</si>
  <si>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</si>
  <si>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</si>
  <si>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</si>
  <si>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</si>
  <si>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</si>
  <si>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</si>
  <si>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</si>
  <si>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</si>
  <si>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</si>
  <si>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</si>
  <si>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</si>
  <si>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</si>
  <si>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</si>
  <si>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</si>
  <si>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</si>
  <si>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</si>
  <si>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</si>
  <si>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</si>
  <si>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</si>
  <si>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</si>
  <si>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</si>
  <si>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</si>
  <si>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</si>
  <si>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</si>
  <si>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</si>
  <si>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</si>
  <si>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</si>
  <si>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</si>
  <si>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</si>
  <si>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</si>
  <si>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</si>
  <si>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</si>
  <si>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</si>
  <si>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</si>
  <si>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</si>
  <si>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</si>
  <si>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</si>
  <si>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</si>
  <si>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</si>
  <si>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</si>
  <si>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</si>
  <si>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</si>
  <si>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</si>
  <si>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</si>
  <si>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</si>
  <si>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</si>
  <si>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</si>
  <si>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</si>
  <si>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</si>
  <si>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</si>
  <si>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</si>
  <si>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</si>
  <si>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</si>
  <si>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</si>
  <si>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</si>
  <si>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</si>
  <si>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</si>
  <si>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</si>
  <si>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</si>
  <si>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</si>
  <si>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</si>
  <si>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DE_GHD03</t>
  </si>
  <si>
    <t>Wiesbaden-Erbenheim</t>
  </si>
  <si>
    <t>Rheinallee 41</t>
  </si>
  <si>
    <t>Mainz</t>
  </si>
  <si>
    <t>Eric Blankenberger</t>
  </si>
  <si>
    <t>netznutzung@stadtwerke-mainz.de</t>
  </si>
  <si>
    <t>06131 - 12 6338</t>
  </si>
  <si>
    <t>NCHN007004130000</t>
  </si>
  <si>
    <t>Mainz und Umgebung</t>
  </si>
  <si>
    <t>HD3</t>
  </si>
  <si>
    <t>9870041300003</t>
  </si>
  <si>
    <t>Mainzer Netze GmbH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</si>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</sst>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8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3" fontId="0" fillId="71" borderId="73" xfId="0" applyNumberFormat="1" applyFont="1" applyFill="1" applyBorder="1" applyAlignment="1" applyProtection="1">
      <alignment horizontal="center" vertical="center"/>
      <protection locked="0"/>
    </xf>
    <xf numFmtId="184" fontId="0" fillId="71" borderId="73" xfId="0" applyNumberFormat="1" applyFont="1" applyFill="1" applyBorder="1" applyAlignment="1" applyProtection="1">
      <alignment vertical="center"/>
      <protection locked="0"/>
    </xf>
    <xf numFmtId="168" fontId="0" fillId="74" borderId="54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10" sqref="D1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666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487</v>
      </c>
      <c r="D11" s="332" t="s">
        <v>665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55118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461</v>
      </c>
      <c r="D27" s="42" t="s">
        <v>396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Mainz und Umgebung</v>
      </c>
      <c r="E28" s="38"/>
      <c r="F28" s="11"/>
      <c r="G28" s="2"/>
    </row>
    <row r="29" spans="1:15">
      <c r="B29" s="15"/>
      <c r="C29" s="22" t="s">
        <v>396</v>
      </c>
      <c r="D29" s="45" t="s">
        <v>663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7" priority="2">
      <formula>IF(CELL("Zeile",D29)&lt;$D$25+CELL("Zeile",$D$29),1,0)</formula>
    </cfRule>
  </conditionalFormatting>
  <conditionalFormatting sqref="D30:D48">
    <cfRule type="expression" dxfId="66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abSelected="1" zoomScale="80" zoomScaleNormal="80" workbookViewId="0">
      <selection activeCell="D27" sqref="D2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Mainzer Netze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Mainz und Umgebung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9870041300003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615</v>
      </c>
      <c r="D13" s="33" t="s">
        <v>616</v>
      </c>
      <c r="E13" s="15"/>
      <c r="H13" s="272" t="s">
        <v>616</v>
      </c>
      <c r="I13" s="272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432</v>
      </c>
      <c r="D15" s="42" t="s">
        <v>662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/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575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613</v>
      </c>
      <c r="D22" s="49" t="s">
        <v>609</v>
      </c>
      <c r="E22" s="15"/>
      <c r="H22" s="268" t="s">
        <v>609</v>
      </c>
      <c r="I22" s="268" t="s">
        <v>610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/>
      <c r="E23" s="15"/>
      <c r="H23" s="268" t="s">
        <v>612</v>
      </c>
      <c r="I23" s="8" t="s">
        <v>608</v>
      </c>
      <c r="J23" s="8"/>
      <c r="K23" s="8"/>
      <c r="L23" s="269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68" t="s">
        <v>611</v>
      </c>
      <c r="I24" s="268" t="s">
        <v>618</v>
      </c>
      <c r="J24" s="8"/>
      <c r="K24" s="8"/>
      <c r="L24" s="271" t="s">
        <v>619</v>
      </c>
      <c r="M24" s="271" t="s">
        <v>621</v>
      </c>
      <c r="N24" s="271" t="s">
        <v>620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578</v>
      </c>
      <c r="D26" s="42" t="s">
        <v>667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622</v>
      </c>
      <c r="D27" s="42" t="s">
        <v>625</v>
      </c>
      <c r="E27" s="15"/>
      <c r="H27" s="298" t="s">
        <v>623</v>
      </c>
      <c r="I27" s="270" t="s">
        <v>624</v>
      </c>
      <c r="J27" s="270" t="s">
        <v>625</v>
      </c>
      <c r="K27" s="268"/>
      <c r="L27" s="269"/>
    </row>
    <row r="28" spans="2:16" ht="15" customHeight="1">
      <c r="B28" s="22"/>
      <c r="C28" s="15" t="str">
        <f>HLOOKUP(D27,H27:J28,2,0)</f>
        <v>=&gt; Q(Allokation)  =  Q(Synth.) × F(opt)</v>
      </c>
      <c r="D28" s="299"/>
      <c r="E28" s="15"/>
      <c r="H28" s="271" t="s">
        <v>626</v>
      </c>
      <c r="I28" s="271" t="s">
        <v>627</v>
      </c>
      <c r="J28" s="271" t="s">
        <v>628</v>
      </c>
      <c r="K28" s="268"/>
      <c r="L28" s="269"/>
    </row>
    <row r="29" spans="2:16" ht="15" customHeight="1">
      <c r="B29" s="22"/>
      <c r="C29" s="15" t="str">
        <f>HLOOKUP(D27,H27:J29,3,0)</f>
        <v xml:space="preserve">Hinweis: dynamische Korrekturfaktoren sind tägl. als anwendungsspezif. Parameter bereitzustellen. </v>
      </c>
      <c r="D29" s="300"/>
      <c r="E29" s="15"/>
      <c r="H29" s="271" t="s">
        <v>629</v>
      </c>
      <c r="I29" s="271" t="s">
        <v>630</v>
      </c>
      <c r="J29" s="271" t="s">
        <v>631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577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632</v>
      </c>
      <c r="I32" s="271" t="s">
        <v>633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634</v>
      </c>
      <c r="I33" s="268" t="s">
        <v>629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549</v>
      </c>
      <c r="C35" s="24" t="s">
        <v>497</v>
      </c>
      <c r="D35" s="42">
        <v>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550</v>
      </c>
      <c r="C37" s="5" t="s">
        <v>366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367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663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sheetProtection sheet="1" objects="1" scenarios="1"/>
  <conditionalFormatting sqref="D15">
    <cfRule type="expression" dxfId="65" priority="21">
      <formula>IF($D$11="Gaspool",1,0)</formula>
    </cfRule>
  </conditionalFormatting>
  <conditionalFormatting sqref="D16">
    <cfRule type="expression" dxfId="64" priority="18">
      <formula>IF($D$11="NCG",1,0)</formula>
    </cfRule>
  </conditionalFormatting>
  <conditionalFormatting sqref="D48:D62">
    <cfRule type="expression" dxfId="63" priority="17">
      <formula>IF(CELL("Zeile",D48)&lt;$D$46+CELL("Zeile",$D$48),1,0)</formula>
    </cfRule>
  </conditionalFormatting>
  <conditionalFormatting sqref="D49:D62">
    <cfRule type="expression" dxfId="62" priority="16">
      <formula>IF(CELL(D49)&lt;$D$36+27,1,0)</formula>
    </cfRule>
  </conditionalFormatting>
  <conditionalFormatting sqref="D23">
    <cfRule type="expression" dxfId="61" priority="15">
      <formula>IF($D$22=$H$22,1,0)</formula>
    </cfRule>
  </conditionalFormatting>
  <conditionalFormatting sqref="D31">
    <cfRule type="expression" dxfId="60" priority="4">
      <formula>IF($D$18="synthetisch",1,0)</formula>
    </cfRule>
  </conditionalFormatting>
  <conditionalFormatting sqref="D28">
    <cfRule type="expression" dxfId="59" priority="2">
      <formula>IF(AND($D$27=$I$27,$D$26=$H$26),1,0)</formula>
    </cfRule>
  </conditionalFormatting>
  <conditionalFormatting sqref="D26:D28">
    <cfRule type="expression" dxfId="58" priority="5">
      <formula>IF($D$18="analytisch",1,0)</formula>
    </cfRule>
  </conditionalFormatting>
  <conditionalFormatting sqref="D27">
    <cfRule type="expression" dxfId="57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37" zoomScale="70" zoomScaleNormal="70" workbookViewId="0">
      <selection activeCell="F10" sqref="F10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Mainzer Netze GmbH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Mainz und Umgebung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9870041300003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1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 t="str">
        <f>INDEX('SLP-Verfahren'!D48:D62,'SLP-Temp-Gebiet #01'!F10)</f>
        <v>Mainz und Umgebung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7" t="s">
        <v>584</v>
      </c>
      <c r="D13" s="347"/>
      <c r="E13" s="347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8" t="s">
        <v>450</v>
      </c>
      <c r="D14" s="348"/>
      <c r="E14" s="89" t="s">
        <v>451</v>
      </c>
      <c r="F14" s="263" t="s">
        <v>85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8" t="s">
        <v>388</v>
      </c>
      <c r="D15" s="348"/>
      <c r="E15" s="89" t="s">
        <v>451</v>
      </c>
      <c r="F15" s="263" t="s">
        <v>71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504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656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>
        <v>10633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345">
        <v>1</v>
      </c>
      <c r="F32" s="345">
        <v>0.5</v>
      </c>
      <c r="G32" s="345">
        <v>0.25</v>
      </c>
      <c r="H32" s="345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342" t="s">
        <v>3</v>
      </c>
      <c r="F33" s="342" t="s">
        <v>360</v>
      </c>
      <c r="G33" s="342" t="s">
        <v>351</v>
      </c>
      <c r="H33" s="342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342" t="s">
        <v>513</v>
      </c>
      <c r="F34" s="342" t="s">
        <v>513</v>
      </c>
      <c r="G34" s="342" t="s">
        <v>513</v>
      </c>
      <c r="H34" s="342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342" t="s">
        <v>604</v>
      </c>
      <c r="F35" s="342" t="s">
        <v>604</v>
      </c>
      <c r="G35" s="342" t="s">
        <v>604</v>
      </c>
      <c r="H35" s="342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142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344" t="s">
        <v>454</v>
      </c>
      <c r="F36" s="344" t="s">
        <v>454</v>
      </c>
      <c r="G36" s="344" t="s">
        <v>455</v>
      </c>
      <c r="H36" s="344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1</v>
      </c>
      <c r="F55" s="280">
        <f>ROUND(F56/$D$56,4)</f>
        <v>0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1</v>
      </c>
      <c r="E56" s="346">
        <v>1</v>
      </c>
      <c r="F56" s="281"/>
      <c r="G56" s="281"/>
      <c r="H56" s="281"/>
      <c r="I56" s="281">
        <f t="shared" ref="I56:N56" si="6">I22</f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342" t="s">
        <v>504</v>
      </c>
      <c r="F57" s="156"/>
      <c r="G57" s="156"/>
      <c r="H57" s="156"/>
      <c r="I57" s="156" t="str">
        <f t="shared" ref="I57:N57" si="7">I23</f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342" t="s">
        <v>656</v>
      </c>
      <c r="F58" s="156"/>
      <c r="G58" s="156"/>
      <c r="H58" s="156"/>
      <c r="I58" s="156">
        <f t="shared" ref="I58:N58" si="8">I24</f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343">
        <v>10633</v>
      </c>
      <c r="F59" s="160"/>
      <c r="G59" s="160"/>
      <c r="H59" s="160"/>
      <c r="I59" s="160">
        <f t="shared" ref="I59:N59" si="9">I25</f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342" t="s">
        <v>505</v>
      </c>
      <c r="F60" s="158"/>
      <c r="G60" s="158"/>
      <c r="H60" s="158"/>
      <c r="I60" s="158">
        <f t="shared" ref="I60:N60" si="10">I26</f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527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">
        <v>513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9" t="s">
        <v>580</v>
      </c>
      <c r="D72" s="349"/>
      <c r="E72" s="349"/>
      <c r="F72" s="349"/>
    </row>
    <row r="73" spans="2:15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5" priority="32">
      <formula>IF(E$20&lt;=$F$18,1,0)</formula>
    </cfRule>
  </conditionalFormatting>
  <conditionalFormatting sqref="E32:N36">
    <cfRule type="expression" dxfId="54" priority="31">
      <formula>IF(E$30&lt;=$F$28,1,0)</formula>
    </cfRule>
  </conditionalFormatting>
  <conditionalFormatting sqref="E26:F26">
    <cfRule type="expression" dxfId="53" priority="30">
      <formula>IF(E$20&lt;=$F$18,1,0)</formula>
    </cfRule>
  </conditionalFormatting>
  <conditionalFormatting sqref="E26:N26">
    <cfRule type="expression" dxfId="52" priority="29">
      <formula>IF(E$20&lt;=$F$18,1,0)</formula>
    </cfRule>
  </conditionalFormatting>
  <conditionalFormatting sqref="F56:N59">
    <cfRule type="expression" dxfId="51" priority="26">
      <formula>IF(F$54&lt;=$F$52,1,0)</formula>
    </cfRule>
  </conditionalFormatting>
  <conditionalFormatting sqref="F60:N60">
    <cfRule type="expression" dxfId="50" priority="25">
      <formula>IF(F$54&lt;=$F$52,1,0)</formula>
    </cfRule>
  </conditionalFormatting>
  <conditionalFormatting sqref="E66:N68">
    <cfRule type="expression" dxfId="49" priority="19">
      <formula>IF(E$64&lt;=$F$62,1,0)</formula>
    </cfRule>
  </conditionalFormatting>
  <conditionalFormatting sqref="E65:N68 E70:N70">
    <cfRule type="expression" dxfId="48" priority="17">
      <formula>IF(E$64&gt;$F$62,1,0)</formula>
    </cfRule>
  </conditionalFormatting>
  <conditionalFormatting sqref="F56:N60">
    <cfRule type="expression" dxfId="47" priority="16">
      <formula>IF(F$54&gt;$F$52,1,0)</formula>
    </cfRule>
  </conditionalFormatting>
  <conditionalFormatting sqref="E21:N26">
    <cfRule type="expression" dxfId="46" priority="15">
      <formula>IF(E$20&gt;$F$18,1,0)</formula>
    </cfRule>
  </conditionalFormatting>
  <conditionalFormatting sqref="E32:N36">
    <cfRule type="expression" dxfId="45" priority="14">
      <formula>IF(E$30&gt;$F$28,1,0)</formula>
    </cfRule>
  </conditionalFormatting>
  <conditionalFormatting sqref="H11 H8:H9">
    <cfRule type="expression" dxfId="44" priority="13">
      <formula>IF($F$9=1,1,0)</formula>
    </cfRule>
  </conditionalFormatting>
  <conditionalFormatting sqref="E55:N55">
    <cfRule type="expression" dxfId="43" priority="12">
      <formula>IF(E$54&gt;$F$52,1,0)</formula>
    </cfRule>
  </conditionalFormatting>
  <conditionalFormatting sqref="E31:N31">
    <cfRule type="expression" dxfId="42" priority="11">
      <formula>IF(E$30&gt;$F$28,1,0)</formula>
    </cfRule>
  </conditionalFormatting>
  <conditionalFormatting sqref="E70:N70">
    <cfRule type="expression" dxfId="41" priority="10">
      <formula>IF(E$64&lt;=$F$62,1,0)</formula>
    </cfRule>
  </conditionalFormatting>
  <conditionalFormatting sqref="H10">
    <cfRule type="expression" dxfId="40" priority="9">
      <formula>IF($F$9=1,1,0)</formula>
    </cfRule>
  </conditionalFormatting>
  <conditionalFormatting sqref="E69:N69">
    <cfRule type="expression" dxfId="39" priority="6">
      <formula>IF(E$64&lt;=$F$62,1,0)</formula>
    </cfRule>
  </conditionalFormatting>
  <conditionalFormatting sqref="E69:N69">
    <cfRule type="expression" dxfId="38" priority="5">
      <formula>IF(E$64&gt;$F$62,1,0)</formula>
    </cfRule>
  </conditionalFormatting>
  <conditionalFormatting sqref="E56:E59">
    <cfRule type="expression" dxfId="37" priority="4">
      <formula>IF(E$20&lt;=$F$18,1,0)</formula>
    </cfRule>
  </conditionalFormatting>
  <conditionalFormatting sqref="E60">
    <cfRule type="expression" dxfId="36" priority="3">
      <formula>IF(E$20&lt;=$F$18,1,0)</formula>
    </cfRule>
  </conditionalFormatting>
  <conditionalFormatting sqref="E60">
    <cfRule type="expression" dxfId="35" priority="2">
      <formula>IF(E$20&lt;=$F$18,1,0)</formula>
    </cfRule>
  </conditionalFormatting>
  <conditionalFormatting sqref="E56:E60">
    <cfRule type="expression" dxfId="34" priority="1">
      <formula>IF(E$20&gt;$F$18,1,0)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7 I36:N36 E26:N26 E22:F22 I22:N22 F62 G24:N24 G70:N70 I33:N34 E69:N69 F25:N25 F68:N68 I58:N58 I57:N57 I59:N59 I60:N60 I56:N56 I32:N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Netzbetreiber!$D$9</f>
        <v>Mainzer Netze GmbH</v>
      </c>
      <c r="F4" s="1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Netzbetreiber!$D$28</f>
        <v>Mainz und Umgebung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Netzbetreiber!$D$11</f>
        <v>9870041300003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2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7" t="s">
        <v>584</v>
      </c>
      <c r="D13" s="347"/>
      <c r="E13" s="347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8" t="s">
        <v>450</v>
      </c>
      <c r="D14" s="348"/>
      <c r="E14" s="89" t="s">
        <v>451</v>
      </c>
      <c r="F14" s="263" t="s">
        <v>85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8" t="s">
        <v>388</v>
      </c>
      <c r="D15" s="348"/>
      <c r="E15" s="89" t="s">
        <v>451</v>
      </c>
      <c r="F15" s="263" t="s">
        <v>71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528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142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527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9" t="s">
        <v>580</v>
      </c>
      <c r="D72" s="349"/>
      <c r="E72" s="349"/>
      <c r="F72" s="349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3" priority="18">
      <formula>IF(E$20&lt;=$F$18,1,0)</formula>
    </cfRule>
  </conditionalFormatting>
  <conditionalFormatting sqref="E32:N36">
    <cfRule type="expression" dxfId="32" priority="17">
      <formula>IF(E$30&lt;=$F$28,1,0)</formula>
    </cfRule>
  </conditionalFormatting>
  <conditionalFormatting sqref="E26:F26">
    <cfRule type="expression" dxfId="31" priority="16">
      <formula>IF(E$20&lt;=$F$18,1,0)</formula>
    </cfRule>
  </conditionalFormatting>
  <conditionalFormatting sqref="E26:N26">
    <cfRule type="expression" dxfId="30" priority="15">
      <formula>IF(E$20&lt;=$F$18,1,0)</formula>
    </cfRule>
  </conditionalFormatting>
  <conditionalFormatting sqref="E56:N59">
    <cfRule type="expression" dxfId="29" priority="14">
      <formula>IF(E$54&lt;=$F$52,1,0)</formula>
    </cfRule>
  </conditionalFormatting>
  <conditionalFormatting sqref="E60:N60">
    <cfRule type="expression" dxfId="28" priority="13">
      <formula>IF(E$54&lt;=$F$52,1,0)</formula>
    </cfRule>
  </conditionalFormatting>
  <conditionalFormatting sqref="E66:N68">
    <cfRule type="expression" dxfId="27" priority="12">
      <formula>IF(E$64&lt;=$F$62,1,0)</formula>
    </cfRule>
  </conditionalFormatting>
  <conditionalFormatting sqref="E65:N68 E70:N70">
    <cfRule type="expression" dxfId="26" priority="11">
      <formula>IF(E$64&gt;$F$62,1,0)</formula>
    </cfRule>
  </conditionalFormatting>
  <conditionalFormatting sqref="E56:N60">
    <cfRule type="expression" dxfId="25" priority="10">
      <formula>IF(E$54&gt;$F$52,1,0)</formula>
    </cfRule>
  </conditionalFormatting>
  <conditionalFormatting sqref="E21:N26">
    <cfRule type="expression" dxfId="24" priority="9">
      <formula>IF(E$20&gt;$F$18,1,0)</formula>
    </cfRule>
  </conditionalFormatting>
  <conditionalFormatting sqref="E32:N36">
    <cfRule type="expression" dxfId="23" priority="8">
      <formula>IF(E$30&gt;$F$28,1,0)</formula>
    </cfRule>
  </conditionalFormatting>
  <conditionalFormatting sqref="H11 H8:H9">
    <cfRule type="expression" dxfId="22" priority="7">
      <formula>IF($F$9=1,1,0)</formula>
    </cfRule>
  </conditionalFormatting>
  <conditionalFormatting sqref="E55:N55">
    <cfRule type="expression" dxfId="21" priority="6">
      <formula>IF(E$54&gt;$F$52,1,0)</formula>
    </cfRule>
  </conditionalFormatting>
  <conditionalFormatting sqref="E31:N31">
    <cfRule type="expression" dxfId="20" priority="5">
      <formula>IF(E$30&gt;$F$28,1,0)</formula>
    </cfRule>
  </conditionalFormatting>
  <conditionalFormatting sqref="E70:N70">
    <cfRule type="expression" dxfId="19" priority="4">
      <formula>IF(E$64&lt;=$F$62,1,0)</formula>
    </cfRule>
  </conditionalFormatting>
  <conditionalFormatting sqref="H10">
    <cfRule type="expression" dxfId="18" priority="3">
      <formula>IF($F$9=1,1,0)</formula>
    </cfRule>
  </conditionalFormatting>
  <conditionalFormatting sqref="E69:N69">
    <cfRule type="expression" dxfId="17" priority="2">
      <formula>IF(E$64&lt;=$F$62,1,0)</formula>
    </cfRule>
  </conditionalFormatting>
  <conditionalFormatting sqref="E69:N69">
    <cfRule type="expression" dxfId="16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V15" sqref="V15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Mainzer Netze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Mainz und Umgebung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9870041300003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497</v>
      </c>
      <c r="J8" s="132">
        <f>COUNTA(D12:D100)</f>
        <v>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496</v>
      </c>
      <c r="D10" s="134" t="s">
        <v>147</v>
      </c>
      <c r="E10" s="273" t="s">
        <v>512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295" t="s">
        <v>648</v>
      </c>
    </row>
    <row r="11" spans="2:26" ht="15.75" thickBot="1">
      <c r="B11" s="139" t="s">
        <v>498</v>
      </c>
      <c r="C11" s="140" t="s">
        <v>511</v>
      </c>
      <c r="D11" s="294" t="s">
        <v>247</v>
      </c>
      <c r="E11" s="164"/>
      <c r="F11" s="296" t="e">
        <f>VLOOKUP($E11,'BDEW-Standard'!$B$3:$M$158,F$9,0)</f>
        <v>#N/A</v>
      </c>
      <c r="H11" s="167" t="e">
        <f>ROUND(VLOOKUP($E11,'BDEW-Standard'!$B$3:$M$158,H$9,0),7)</f>
        <v>#N/A</v>
      </c>
      <c r="I11" s="167" t="e">
        <f>ROUND(VLOOKUP($E11,'BDEW-Standard'!$B$3:$M$158,I$9,0),7)</f>
        <v>#N/A</v>
      </c>
      <c r="J11" s="167" t="e">
        <f>ROUND(VLOOKUP($E11,'BDEW-Standard'!$B$3:$M$158,J$9,0),7)</f>
        <v>#N/A</v>
      </c>
      <c r="K11" s="167" t="e">
        <f>ROUND(VLOOKUP($E11,'BDEW-Standard'!$B$3:$M$158,K$9,0),7)</f>
        <v>#N/A</v>
      </c>
      <c r="L11" s="336" t="e">
        <f>ROUND(VLOOKUP($E11,'BDEW-Standard'!$B$3:$M$158,L$9,0),1)</f>
        <v>#N/A</v>
      </c>
      <c r="M11" s="167" t="e">
        <f>ROUND(VLOOKUP($E11,'BDEW-Standard'!$B$3:$M$158,M$9,0),7)</f>
        <v>#N/A</v>
      </c>
      <c r="N11" s="167" t="e">
        <f>ROUND(VLOOKUP($E11,'BDEW-Standard'!$B$3:$M$158,N$9,0),7)</f>
        <v>#N/A</v>
      </c>
      <c r="O11" s="167" t="e">
        <f>ROUND(VLOOKUP($E11,'BDEW-Standard'!$B$3:$M$158,O$9,0),7)</f>
        <v>#N/A</v>
      </c>
      <c r="P11" s="167" t="e">
        <f>ROUND(VLOOKUP($E11,'BDEW-Standard'!$B$3:$M$158,P$9,0),7)</f>
        <v>#N/A</v>
      </c>
      <c r="Q11" s="337" t="e">
        <f>($H11/(1+($I11/($Q$9-$L11))^$J11)+$K11)+MAX($M11*$Q$9+$N11,$O11*$Q$9+$P11)</f>
        <v>#N/A</v>
      </c>
      <c r="R11" s="168" t="e">
        <f>ROUND(VLOOKUP(MID($E11,4,3),'Wochentag F(WT)'!$B$7:$J$22,R$9,0),4)</f>
        <v>#N/A</v>
      </c>
      <c r="S11" s="168" t="e">
        <f>ROUND(VLOOKUP(MID($E11,4,3),'Wochentag F(WT)'!$B$7:$J$22,S$9,0),4)</f>
        <v>#N/A</v>
      </c>
      <c r="T11" s="168" t="e">
        <f>ROUND(VLOOKUP(MID($E11,4,3),'Wochentag F(WT)'!$B$7:$J$22,T$9,0),4)</f>
        <v>#N/A</v>
      </c>
      <c r="U11" s="168" t="e">
        <f>ROUND(VLOOKUP(MID($E11,4,3),'Wochentag F(WT)'!$B$7:$J$22,U$9,0),4)</f>
        <v>#N/A</v>
      </c>
      <c r="V11" s="168" t="e">
        <f>ROUND(VLOOKUP(MID($E11,4,3),'Wochentag F(WT)'!$B$7:$J$22,V$9,0),4)</f>
        <v>#N/A</v>
      </c>
      <c r="W11" s="168" t="e">
        <f>ROUND(VLOOKUP(MID($E11,4,3),'Wochentag F(WT)'!$B$7:$J$22,W$9,0),4)</f>
        <v>#N/A</v>
      </c>
      <c r="X11" s="169" t="e">
        <f>7-SUM(R11:W11)</f>
        <v>#N/A</v>
      </c>
      <c r="Y11" s="292">
        <v>365.12299999999999</v>
      </c>
    </row>
    <row r="12" spans="2:26" ht="15.75" thickBot="1">
      <c r="B12" s="141">
        <v>1</v>
      </c>
      <c r="C12" s="142" t="str">
        <f t="shared" ref="C12:C41" si="0">$D$6</f>
        <v>Mainz und Umgebung</v>
      </c>
      <c r="D12" s="62" t="s">
        <v>247</v>
      </c>
      <c r="E12" s="164" t="s">
        <v>47</v>
      </c>
      <c r="F12" s="297" t="s">
        <v>314</v>
      </c>
      <c r="H12" s="274">
        <v>2.5078170000000002</v>
      </c>
      <c r="I12" s="274">
        <v>-35.036736300000001</v>
      </c>
      <c r="J12" s="274">
        <v>6.2430158999999996</v>
      </c>
      <c r="K12" s="274">
        <v>0.1001118</v>
      </c>
      <c r="L12" s="338">
        <v>40</v>
      </c>
      <c r="M12" s="274">
        <v>0</v>
      </c>
      <c r="N12" s="274">
        <v>0</v>
      </c>
      <c r="O12" s="274">
        <v>0</v>
      </c>
      <c r="P12" s="274">
        <v>0</v>
      </c>
      <c r="Q12" s="339">
        <v>1.0083439326442527</v>
      </c>
      <c r="R12" s="275">
        <v>1</v>
      </c>
      <c r="S12" s="275">
        <v>1</v>
      </c>
      <c r="T12" s="275">
        <v>1</v>
      </c>
      <c r="U12" s="275">
        <v>1</v>
      </c>
      <c r="V12" s="275">
        <v>1</v>
      </c>
      <c r="W12" s="275">
        <v>1</v>
      </c>
      <c r="X12" s="276">
        <v>1</v>
      </c>
      <c r="Y12" s="341">
        <v>300</v>
      </c>
      <c r="Z12" s="211"/>
    </row>
    <row r="13" spans="2:26" s="143" customFormat="1" ht="15.75" thickBot="1">
      <c r="B13" s="144">
        <v>2</v>
      </c>
      <c r="C13" s="145" t="str">
        <f t="shared" si="0"/>
        <v>Mainz und Umgebung</v>
      </c>
      <c r="D13" s="62" t="s">
        <v>247</v>
      </c>
      <c r="E13" s="165" t="s">
        <v>39</v>
      </c>
      <c r="F13" s="297" t="s">
        <v>306</v>
      </c>
      <c r="H13" s="274">
        <v>3.1764404000000002</v>
      </c>
      <c r="I13" s="274">
        <v>-37.410583199999998</v>
      </c>
      <c r="J13" s="274">
        <v>6.1622336000000004</v>
      </c>
      <c r="K13" s="274">
        <v>7.4154300000000006E-2</v>
      </c>
      <c r="L13" s="338">
        <v>40</v>
      </c>
      <c r="M13" s="274">
        <v>0</v>
      </c>
      <c r="N13" s="274">
        <v>0</v>
      </c>
      <c r="O13" s="274">
        <v>0</v>
      </c>
      <c r="P13" s="274">
        <v>0</v>
      </c>
      <c r="Q13" s="339">
        <v>0.95195693288062622</v>
      </c>
      <c r="R13" s="275">
        <v>1</v>
      </c>
      <c r="S13" s="275">
        <v>1</v>
      </c>
      <c r="T13" s="275">
        <v>1</v>
      </c>
      <c r="U13" s="275">
        <v>1</v>
      </c>
      <c r="V13" s="275">
        <v>1</v>
      </c>
      <c r="W13" s="275">
        <v>1</v>
      </c>
      <c r="X13" s="276">
        <v>1</v>
      </c>
      <c r="Y13" s="341">
        <v>300.00000999999997</v>
      </c>
      <c r="Z13" s="211"/>
    </row>
    <row r="14" spans="2:26" s="143" customFormat="1" ht="15.75" thickBot="1">
      <c r="B14" s="144">
        <v>3</v>
      </c>
      <c r="C14" s="145" t="str">
        <f t="shared" si="0"/>
        <v>Mainz und Umgebung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ref="Q14" si="1">($H14/(1+($I14/($Q$9-$L14))^$J14)+$K14)+MAX($M14*$Q$9+$N14,$O14*$Q$9+$P14)</f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ref="X14" si="2">7-SUM(R14:W14)</f>
        <v>1</v>
      </c>
      <c r="Y14" s="341">
        <v>300.00002000000001</v>
      </c>
      <c r="Z14" s="211"/>
    </row>
    <row r="15" spans="2:26" s="143" customFormat="1" ht="15.75" thickBot="1">
      <c r="B15" s="144">
        <v>4</v>
      </c>
      <c r="C15" s="145" t="str">
        <f t="shared" si="0"/>
        <v>Mainz und Umgebung</v>
      </c>
      <c r="D15" s="62" t="s">
        <v>247</v>
      </c>
      <c r="E15" s="165" t="s">
        <v>655</v>
      </c>
      <c r="F15" s="297" t="s">
        <v>664</v>
      </c>
      <c r="H15" s="274">
        <v>2.5792510000000002</v>
      </c>
      <c r="I15" s="274">
        <v>-35.681614400000001</v>
      </c>
      <c r="J15" s="274">
        <v>6.6857975999999999</v>
      </c>
      <c r="K15" s="274">
        <v>0.19955410000000001</v>
      </c>
      <c r="L15" s="338">
        <v>40</v>
      </c>
      <c r="M15" s="274">
        <v>0</v>
      </c>
      <c r="N15" s="274">
        <v>0</v>
      </c>
      <c r="O15" s="274">
        <v>0</v>
      </c>
      <c r="P15" s="274">
        <v>0</v>
      </c>
      <c r="Q15" s="339">
        <v>1.0393994293439688</v>
      </c>
      <c r="R15" s="275">
        <v>1.03</v>
      </c>
      <c r="S15" s="275">
        <v>1.03</v>
      </c>
      <c r="T15" s="275">
        <v>1.02</v>
      </c>
      <c r="U15" s="275">
        <v>1.03</v>
      </c>
      <c r="V15" s="275">
        <v>1.01</v>
      </c>
      <c r="W15" s="275">
        <v>0.93</v>
      </c>
      <c r="X15" s="276">
        <v>0.95</v>
      </c>
      <c r="Y15" s="341">
        <v>300.00004000000001</v>
      </c>
      <c r="Z15" s="211"/>
    </row>
    <row r="16" spans="2:26" s="143" customFormat="1">
      <c r="B16" s="144">
        <v>5</v>
      </c>
      <c r="C16" s="145" t="str">
        <f t="shared" si="0"/>
        <v>Mainz und Umgebung</v>
      </c>
      <c r="D16" s="62"/>
      <c r="E16" s="165"/>
      <c r="F16" s="297"/>
      <c r="H16" s="274"/>
      <c r="I16" s="274"/>
      <c r="J16" s="274"/>
      <c r="K16" s="274"/>
      <c r="L16" s="338"/>
      <c r="M16" s="274"/>
      <c r="N16" s="274"/>
      <c r="O16" s="274"/>
      <c r="P16" s="274"/>
      <c r="Q16" s="339"/>
      <c r="R16" s="275"/>
      <c r="S16" s="275"/>
      <c r="T16" s="275"/>
      <c r="U16" s="275"/>
      <c r="V16" s="275"/>
      <c r="W16" s="275"/>
      <c r="X16" s="276"/>
      <c r="Y16" s="293"/>
      <c r="Z16" s="211"/>
    </row>
    <row r="17" spans="2:26" s="143" customFormat="1">
      <c r="B17" s="144">
        <v>6</v>
      </c>
      <c r="C17" s="145" t="str">
        <f t="shared" si="0"/>
        <v>Mainz und Umgebung</v>
      </c>
      <c r="D17" s="62"/>
      <c r="E17" s="165"/>
      <c r="F17" s="297"/>
      <c r="H17" s="274"/>
      <c r="I17" s="274"/>
      <c r="J17" s="274"/>
      <c r="K17" s="274"/>
      <c r="L17" s="338"/>
      <c r="M17" s="274"/>
      <c r="N17" s="274"/>
      <c r="O17" s="274"/>
      <c r="P17" s="274"/>
      <c r="Q17" s="339"/>
      <c r="R17" s="275"/>
      <c r="S17" s="275"/>
      <c r="T17" s="275"/>
      <c r="U17" s="275"/>
      <c r="V17" s="275"/>
      <c r="W17" s="275"/>
      <c r="X17" s="276"/>
      <c r="Y17" s="293"/>
      <c r="Z17" s="211"/>
    </row>
    <row r="18" spans="2:26" s="143" customFormat="1">
      <c r="B18" s="144">
        <v>7</v>
      </c>
      <c r="C18" s="145" t="str">
        <f t="shared" si="0"/>
        <v>Mainz und Umgebung</v>
      </c>
      <c r="D18" s="62"/>
      <c r="E18" s="165"/>
      <c r="F18" s="297"/>
      <c r="H18" s="274"/>
      <c r="I18" s="274"/>
      <c r="J18" s="274"/>
      <c r="K18" s="274"/>
      <c r="L18" s="338"/>
      <c r="M18" s="274"/>
      <c r="N18" s="274"/>
      <c r="O18" s="274"/>
      <c r="P18" s="274"/>
      <c r="Q18" s="339"/>
      <c r="R18" s="275"/>
      <c r="S18" s="275"/>
      <c r="T18" s="275"/>
      <c r="U18" s="275"/>
      <c r="V18" s="275"/>
      <c r="W18" s="275"/>
      <c r="X18" s="276"/>
      <c r="Y18" s="293"/>
      <c r="Z18" s="211"/>
    </row>
    <row r="19" spans="2:26" s="143" customFormat="1">
      <c r="B19" s="144">
        <v>8</v>
      </c>
      <c r="C19" s="145" t="str">
        <f t="shared" si="0"/>
        <v>Mainz und Umgebung</v>
      </c>
      <c r="D19" s="62"/>
      <c r="E19" s="165"/>
      <c r="F19" s="297"/>
      <c r="H19" s="274"/>
      <c r="I19" s="274"/>
      <c r="J19" s="274"/>
      <c r="K19" s="274"/>
      <c r="L19" s="338"/>
      <c r="M19" s="274"/>
      <c r="N19" s="274"/>
      <c r="O19" s="274"/>
      <c r="P19" s="274"/>
      <c r="Q19" s="339"/>
      <c r="R19" s="275"/>
      <c r="S19" s="275"/>
      <c r="T19" s="275"/>
      <c r="U19" s="275"/>
      <c r="V19" s="275"/>
      <c r="W19" s="275"/>
      <c r="X19" s="276"/>
      <c r="Y19" s="293"/>
      <c r="Z19" s="211"/>
    </row>
    <row r="20" spans="2:26" s="143" customFormat="1">
      <c r="B20" s="144">
        <v>9</v>
      </c>
      <c r="C20" s="145" t="str">
        <f t="shared" si="0"/>
        <v>Mainz und Umgebung</v>
      </c>
      <c r="D20" s="62"/>
      <c r="E20" s="165"/>
      <c r="F20" s="297"/>
      <c r="H20" s="274"/>
      <c r="I20" s="274"/>
      <c r="J20" s="274"/>
      <c r="K20" s="274"/>
      <c r="L20" s="338"/>
      <c r="M20" s="274"/>
      <c r="N20" s="274"/>
      <c r="O20" s="274"/>
      <c r="P20" s="274"/>
      <c r="Q20" s="339"/>
      <c r="R20" s="275"/>
      <c r="S20" s="275"/>
      <c r="T20" s="275"/>
      <c r="U20" s="275"/>
      <c r="V20" s="275"/>
      <c r="W20" s="275"/>
      <c r="X20" s="276"/>
      <c r="Y20" s="293"/>
      <c r="Z20" s="211"/>
    </row>
    <row r="21" spans="2:26" s="143" customFormat="1">
      <c r="B21" s="144">
        <v>10</v>
      </c>
      <c r="C21" s="145" t="str">
        <f t="shared" si="0"/>
        <v>Mainz und Umgebung</v>
      </c>
      <c r="D21" s="62"/>
      <c r="E21" s="165"/>
      <c r="F21" s="297"/>
      <c r="H21" s="274"/>
      <c r="I21" s="274"/>
      <c r="J21" s="274"/>
      <c r="K21" s="274"/>
      <c r="L21" s="338"/>
      <c r="M21" s="274"/>
      <c r="N21" s="274"/>
      <c r="O21" s="274"/>
      <c r="P21" s="274"/>
      <c r="Q21" s="339"/>
      <c r="R21" s="275"/>
      <c r="S21" s="275"/>
      <c r="T21" s="275"/>
      <c r="U21" s="275"/>
      <c r="V21" s="275"/>
      <c r="W21" s="275"/>
      <c r="X21" s="276"/>
      <c r="Y21" s="293"/>
      <c r="Z21" s="211"/>
    </row>
    <row r="22" spans="2:26" s="143" customFormat="1">
      <c r="B22" s="144">
        <v>11</v>
      </c>
      <c r="C22" s="145" t="str">
        <f t="shared" si="0"/>
        <v>Mainz und Umgebung</v>
      </c>
      <c r="D22" s="62"/>
      <c r="E22" s="165"/>
      <c r="F22" s="297"/>
      <c r="H22" s="274"/>
      <c r="I22" s="274"/>
      <c r="J22" s="274"/>
      <c r="K22" s="274"/>
      <c r="L22" s="338"/>
      <c r="M22" s="274"/>
      <c r="N22" s="274"/>
      <c r="O22" s="274"/>
      <c r="P22" s="274"/>
      <c r="Q22" s="339"/>
      <c r="R22" s="275"/>
      <c r="S22" s="275"/>
      <c r="T22" s="275"/>
      <c r="U22" s="275"/>
      <c r="V22" s="275"/>
      <c r="W22" s="275"/>
      <c r="X22" s="276"/>
      <c r="Y22" s="293"/>
      <c r="Z22" s="211"/>
    </row>
    <row r="23" spans="2:26" s="143" customFormat="1">
      <c r="B23" s="144">
        <v>12</v>
      </c>
      <c r="C23" s="145" t="str">
        <f t="shared" si="0"/>
        <v>Mainz und Umgebung</v>
      </c>
      <c r="D23" s="62"/>
      <c r="E23" s="165"/>
      <c r="F23" s="297"/>
      <c r="H23" s="274"/>
      <c r="I23" s="274"/>
      <c r="J23" s="274"/>
      <c r="K23" s="274"/>
      <c r="L23" s="338"/>
      <c r="M23" s="274"/>
      <c r="N23" s="274"/>
      <c r="O23" s="274"/>
      <c r="P23" s="274"/>
      <c r="Q23" s="339"/>
      <c r="R23" s="275"/>
      <c r="S23" s="275"/>
      <c r="T23" s="275"/>
      <c r="U23" s="275"/>
      <c r="V23" s="275"/>
      <c r="W23" s="275"/>
      <c r="X23" s="276"/>
      <c r="Y23" s="293"/>
      <c r="Z23" s="211"/>
    </row>
    <row r="24" spans="2:26" s="143" customFormat="1">
      <c r="B24" s="144">
        <v>13</v>
      </c>
      <c r="C24" s="145" t="str">
        <f t="shared" si="0"/>
        <v>Mainz und Umgebung</v>
      </c>
      <c r="D24" s="62"/>
      <c r="E24" s="165"/>
      <c r="F24" s="297"/>
      <c r="H24" s="274"/>
      <c r="I24" s="274"/>
      <c r="J24" s="274"/>
      <c r="K24" s="274"/>
      <c r="L24" s="338"/>
      <c r="M24" s="274"/>
      <c r="N24" s="274"/>
      <c r="O24" s="274"/>
      <c r="P24" s="274"/>
      <c r="Q24" s="339"/>
      <c r="R24" s="275"/>
      <c r="S24" s="275"/>
      <c r="T24" s="275"/>
      <c r="U24" s="275"/>
      <c r="V24" s="275"/>
      <c r="W24" s="275"/>
      <c r="X24" s="276"/>
      <c r="Y24" s="293"/>
      <c r="Z24" s="211"/>
    </row>
    <row r="25" spans="2:26" s="143" customFormat="1">
      <c r="B25" s="144">
        <v>14</v>
      </c>
      <c r="C25" s="145" t="str">
        <f t="shared" si="0"/>
        <v>Mainz und Umgebung</v>
      </c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>
        <v>15</v>
      </c>
      <c r="C26" s="145" t="str">
        <f t="shared" si="0"/>
        <v>Mainz und Umgebung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Mainz und Umgebung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Mainz und Umgebung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Mainz und Umgebung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Mainz und Umgebung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Mainz und Umgebung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Mainz und Umgebung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Mainz und Umgebung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Mainz und Umgebung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Mainz und Umgebung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Mainz und Umgebung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Mainz und Umgebung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Mainz und Umgebung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Mainz und Umgebung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Mainz und Umgebung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Mainz und Umgebung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14 H11:K14 M11:P14 R11:Y14 R16:Y41 Y15 M16:P41 H16:K41 F16:F41">
    <cfRule type="expression" dxfId="15" priority="15">
      <formula>ISERROR(F11)</formula>
    </cfRule>
  </conditionalFormatting>
  <conditionalFormatting sqref="E13:F14 Y12:Y41 F12 E16:F41 E15">
    <cfRule type="duplicateValues" dxfId="14" priority="37"/>
  </conditionalFormatting>
  <conditionalFormatting sqref="L11:L14 L16:L41">
    <cfRule type="expression" dxfId="13" priority="6">
      <formula>ISERROR(L11)</formula>
    </cfRule>
  </conditionalFormatting>
  <conditionalFormatting sqref="Q11:Q14 Q16:Q41">
    <cfRule type="expression" dxfId="12" priority="5">
      <formula>ISERROR(Q11)</formula>
    </cfRule>
  </conditionalFormatting>
  <conditionalFormatting sqref="F15 H15:K15 M15:P15 R15:X15">
    <cfRule type="expression" dxfId="11" priority="3">
      <formula>ISERROR(F15)</formula>
    </cfRule>
  </conditionalFormatting>
  <conditionalFormatting sqref="F15">
    <cfRule type="duplicateValues" dxfId="10" priority="4"/>
  </conditionalFormatting>
  <conditionalFormatting sqref="L15">
    <cfRule type="expression" dxfId="9" priority="2">
      <formula>ISERROR(L15)</formula>
    </cfRule>
  </conditionalFormatting>
  <conditionalFormatting sqref="Q15">
    <cfRule type="expression" dxfId="8" priority="1">
      <formula>ISERROR(Q15)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4 C13:C33 C34:C41 M14:X14 I14:K14" unlockedFormula="1"/>
    <ignoredError sqref="L1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7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M11" sqref="M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Mainzer Netze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Netzbetreiber!$D$28</f>
        <v>Mainz und Umgebung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 t="str">
        <f>Netzbetreiber!$D$11</f>
        <v>9870041300003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0" t="s">
        <v>460</v>
      </c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2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55" t="s">
        <v>583</v>
      </c>
      <c r="C10" s="356"/>
      <c r="D10" s="94">
        <v>2</v>
      </c>
      <c r="E10" s="95" t="str">
        <f>IF(ISERROR(HLOOKUP(E$11,$M$9:$AD$33,$D10,0)),"",HLOOKUP(E$11,$M$9:$AD$33,$D10,0))</f>
        <v/>
      </c>
      <c r="F10" s="353" t="s">
        <v>398</v>
      </c>
      <c r="G10" s="353"/>
      <c r="H10" s="353"/>
      <c r="I10" s="353"/>
      <c r="J10" s="353"/>
      <c r="K10" s="353"/>
      <c r="L10" s="354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649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0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0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456</v>
      </c>
      <c r="F1" s="214" t="s">
        <v>545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652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42578125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457</v>
      </c>
      <c r="B1" s="128"/>
      <c r="D1" s="214" t="s">
        <v>545</v>
      </c>
    </row>
    <row r="2" spans="1:16">
      <c r="A2" s="234"/>
      <c r="B2" s="233" t="s">
        <v>458</v>
      </c>
    </row>
    <row r="3" spans="1:16" ht="20.100000000000001" customHeight="1">
      <c r="A3" s="357" t="s">
        <v>248</v>
      </c>
      <c r="B3" s="235" t="s">
        <v>86</v>
      </c>
      <c r="C3" s="236"/>
      <c r="D3" s="359" t="s">
        <v>459</v>
      </c>
      <c r="E3" s="360"/>
      <c r="F3" s="360"/>
      <c r="G3" s="360"/>
      <c r="H3" s="360"/>
      <c r="I3" s="360"/>
      <c r="J3" s="361"/>
      <c r="K3" s="237"/>
      <c r="L3" s="237"/>
      <c r="M3" s="237"/>
      <c r="N3" s="237"/>
      <c r="O3" s="238"/>
      <c r="P3" s="237"/>
    </row>
    <row r="4" spans="1:16" ht="20.100000000000001" customHeight="1">
      <c r="A4" s="358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Susanne Lambrich</cp:lastModifiedBy>
  <cp:lastPrinted>2015-03-20T22:59:10Z</cp:lastPrinted>
  <dcterms:created xsi:type="dcterms:W3CDTF">2015-01-15T05:25:41Z</dcterms:created>
  <dcterms:modified xsi:type="dcterms:W3CDTF">2022-08-31T15:43:57Z</dcterms:modified>
</cp:coreProperties>
</file>